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5B80F483-E2D6-4043-AC03-59D0AF7BDE02}" xr6:coauthVersionLast="44" xr6:coauthVersionMax="44" xr10:uidLastSave="{00000000-0000-0000-0000-000000000000}"/>
  <bookViews>
    <workbookView xWindow="6810" yWindow="2370" windowWidth="19635" windowHeight="12195" xr2:uid="{00000000-000D-0000-FFFF-FFFF00000000}"/>
  </bookViews>
  <sheets>
    <sheet name="6-24  " sheetId="112" r:id="rId1"/>
  </sheets>
  <definedNames>
    <definedName name="_xlnm.Print_Area" localSheetId="0">'6-24  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0" i="112" l="1"/>
  <c r="F40" i="112"/>
  <c r="E40" i="112"/>
  <c r="F39" i="112"/>
  <c r="E39" i="112"/>
  <c r="B39" i="112"/>
  <c r="H39" i="112" s="1"/>
  <c r="F38" i="112"/>
  <c r="E38" i="112"/>
  <c r="G38" i="112" s="1"/>
  <c r="B38" i="112"/>
  <c r="I36" i="112"/>
  <c r="F36" i="112"/>
  <c r="E36" i="112"/>
  <c r="G36" i="112" s="1"/>
  <c r="I35" i="112"/>
  <c r="F35" i="112"/>
  <c r="E35" i="112"/>
  <c r="E34" i="112"/>
  <c r="G34" i="112" s="1"/>
  <c r="C34" i="112"/>
  <c r="I34" i="112" s="1"/>
  <c r="F33" i="112"/>
  <c r="E33" i="112"/>
  <c r="B33" i="112"/>
  <c r="H33" i="112" s="1"/>
  <c r="F32" i="112"/>
  <c r="E32" i="112"/>
  <c r="G32" i="112" s="1"/>
  <c r="B32" i="112"/>
  <c r="I30" i="112"/>
  <c r="F30" i="112"/>
  <c r="E30" i="112"/>
  <c r="B30" i="112"/>
  <c r="I29" i="112"/>
  <c r="F29" i="112"/>
  <c r="E29" i="112"/>
  <c r="B29" i="112"/>
  <c r="H29" i="112" s="1"/>
  <c r="I28" i="112"/>
  <c r="F28" i="112"/>
  <c r="E28" i="112"/>
  <c r="G28" i="112" s="1"/>
  <c r="B28" i="112"/>
  <c r="I27" i="112"/>
  <c r="F27" i="112"/>
  <c r="E27" i="112"/>
  <c r="B27" i="112"/>
  <c r="I26" i="112"/>
  <c r="F26" i="112"/>
  <c r="E26" i="112"/>
  <c r="G26" i="112" s="1"/>
  <c r="B26" i="112"/>
  <c r="I20" i="112"/>
  <c r="H20" i="112"/>
  <c r="G20" i="112"/>
  <c r="F20" i="112"/>
  <c r="I19" i="112"/>
  <c r="H19" i="112"/>
  <c r="G19" i="112"/>
  <c r="F19" i="112"/>
  <c r="G39" i="112" s="1"/>
  <c r="D19" i="112"/>
  <c r="I18" i="112"/>
  <c r="H18" i="112"/>
  <c r="G18" i="112"/>
  <c r="F18" i="112"/>
  <c r="D18" i="112"/>
  <c r="I17" i="112"/>
  <c r="H17" i="112"/>
  <c r="G17" i="112"/>
  <c r="F17" i="112"/>
  <c r="G37" i="112" s="1"/>
  <c r="D17" i="112"/>
  <c r="H37" i="112" s="1"/>
  <c r="I16" i="112"/>
  <c r="H16" i="112"/>
  <c r="G16" i="112"/>
  <c r="F16" i="112"/>
  <c r="G35" i="112"/>
  <c r="I15" i="112"/>
  <c r="H15" i="112"/>
  <c r="G15" i="112"/>
  <c r="F15" i="112"/>
  <c r="G33" i="112" s="1"/>
  <c r="D15" i="112"/>
  <c r="I14" i="112"/>
  <c r="H14" i="112"/>
  <c r="G14" i="112"/>
  <c r="F14" i="112"/>
  <c r="D14" i="112"/>
  <c r="H32" i="112" s="1"/>
  <c r="I12" i="112"/>
  <c r="H12" i="112"/>
  <c r="G12" i="112"/>
  <c r="F12" i="112"/>
  <c r="D12" i="112"/>
  <c r="I11" i="112"/>
  <c r="H11" i="112"/>
  <c r="G11" i="112"/>
  <c r="F11" i="112"/>
  <c r="D11" i="112"/>
  <c r="I10" i="112"/>
  <c r="H10" i="112"/>
  <c r="G10" i="112"/>
  <c r="F10" i="112"/>
  <c r="D10" i="112"/>
  <c r="I9" i="112"/>
  <c r="H9" i="112"/>
  <c r="G9" i="112"/>
  <c r="F9" i="112"/>
  <c r="D9" i="112"/>
  <c r="H27" i="112" s="1"/>
  <c r="I8" i="112"/>
  <c r="H8" i="112"/>
  <c r="G8" i="112"/>
  <c r="F8" i="112"/>
  <c r="D8" i="112"/>
  <c r="G27" i="112"/>
  <c r="G30" i="112"/>
  <c r="H38" i="112"/>
  <c r="G40" i="112"/>
  <c r="G29" i="112"/>
  <c r="H26" i="112"/>
  <c r="H28" i="112"/>
  <c r="H30" i="112"/>
  <c r="F34" i="112"/>
</calcChain>
</file>

<file path=xl/sharedStrings.xml><?xml version="1.0" encoding="utf-8"?>
<sst xmlns="http://schemas.openxmlformats.org/spreadsheetml/2006/main" count="98" uniqueCount="51">
  <si>
    <t>戸</t>
  </si>
  <si>
    <t>農家負担</t>
  </si>
  <si>
    <t>国庫負担</t>
  </si>
  <si>
    <t>家畜</t>
  </si>
  <si>
    <t>園芸施設</t>
  </si>
  <si>
    <t>被害戸数</t>
  </si>
  <si>
    <t>%</t>
  </si>
  <si>
    <t>死　廃</t>
  </si>
  <si>
    <t>病　傷</t>
  </si>
  <si>
    <t>引受戸数</t>
    <rPh sb="0" eb="2">
      <t>ヒキウケ</t>
    </rPh>
    <phoneticPr fontId="3"/>
  </si>
  <si>
    <t>百万円</t>
    <rPh sb="0" eb="2">
      <t>ヒャクマン</t>
    </rPh>
    <phoneticPr fontId="3"/>
  </si>
  <si>
    <t>百万円</t>
    <rPh sb="0" eb="1">
      <t>ヒャク</t>
    </rPh>
    <rPh sb="1" eb="3">
      <t>マンエン</t>
    </rPh>
    <phoneticPr fontId="3"/>
  </si>
  <si>
    <t>水稲</t>
    <rPh sb="0" eb="2">
      <t>スイトウ</t>
    </rPh>
    <phoneticPr fontId="4"/>
  </si>
  <si>
    <t>大豆</t>
    <rPh sb="0" eb="2">
      <t>ダイズ</t>
    </rPh>
    <phoneticPr fontId="4"/>
  </si>
  <si>
    <t>資料：県生産者支援課</t>
    <rPh sb="4" eb="7">
      <t>セイサンシャ</t>
    </rPh>
    <rPh sb="7" eb="9">
      <t>シエン</t>
    </rPh>
    <phoneticPr fontId="4"/>
  </si>
  <si>
    <t>組合数</t>
    <phoneticPr fontId="3"/>
  </si>
  <si>
    <t>総 額</t>
    <phoneticPr fontId="4"/>
  </si>
  <si>
    <t>ha</t>
    <phoneticPr fontId="3"/>
  </si>
  <si>
    <t>頭，棟</t>
    <phoneticPr fontId="3"/>
  </si>
  <si>
    <t>共済掛金</t>
    <phoneticPr fontId="3"/>
  </si>
  <si>
    <t>27</t>
    <phoneticPr fontId="3"/>
  </si>
  <si>
    <t>引受頭数又は棟数(B)→引受頭数等（B)</t>
    <rPh sb="12" eb="14">
      <t>ヒキウケ</t>
    </rPh>
    <rPh sb="14" eb="16">
      <t>トウスウ</t>
    </rPh>
    <rPh sb="16" eb="17">
      <t>ナド</t>
    </rPh>
    <phoneticPr fontId="10"/>
  </si>
  <si>
    <t>被害頭数又は棟数(E)→被害頭数等（E)</t>
    <rPh sb="0" eb="2">
      <t>ヒガイ</t>
    </rPh>
    <rPh sb="12" eb="14">
      <t>ヒガイ</t>
    </rPh>
    <rPh sb="14" eb="16">
      <t>トウスウ</t>
    </rPh>
    <rPh sb="16" eb="17">
      <t>ナド</t>
    </rPh>
    <phoneticPr fontId="10"/>
  </si>
  <si>
    <t>頭数又は棟数被害率(E)/(B)→頭数・棟数被害率(E)/(B)</t>
    <rPh sb="22" eb="24">
      <t>ヒガイ</t>
    </rPh>
    <rPh sb="24" eb="25">
      <t>リツ</t>
    </rPh>
    <phoneticPr fontId="10"/>
  </si>
  <si>
    <t>頭，件，棟</t>
    <rPh sb="2" eb="3">
      <t>ケン</t>
    </rPh>
    <rPh sb="4" eb="5">
      <t>トウ</t>
    </rPh>
    <phoneticPr fontId="3"/>
  </si>
  <si>
    <t>(注) 1)「組合数」の合計については実数。</t>
    <phoneticPr fontId="3"/>
  </si>
  <si>
    <t xml:space="preserve">     3)四捨五入の関係で、「平成30年度」の値は、各共済事業の値を合計したものと異なる場合がある。</t>
    <rPh sb="7" eb="11">
      <t>シシャゴニュウ</t>
    </rPh>
    <rPh sb="12" eb="14">
      <t>カンケイ</t>
    </rPh>
    <rPh sb="17" eb="19">
      <t>ヘイセイ</t>
    </rPh>
    <rPh sb="21" eb="23">
      <t>ネンド</t>
    </rPh>
    <rPh sb="25" eb="26">
      <t>アタイ</t>
    </rPh>
    <rPh sb="28" eb="29">
      <t>カク</t>
    </rPh>
    <rPh sb="29" eb="31">
      <t>キョウサイ</t>
    </rPh>
    <rPh sb="31" eb="33">
      <t>ジギョウ</t>
    </rPh>
    <rPh sb="34" eb="35">
      <t>アタイ</t>
    </rPh>
    <rPh sb="36" eb="38">
      <t>ゴウケイ</t>
    </rPh>
    <rPh sb="43" eb="44">
      <t>コト</t>
    </rPh>
    <rPh sb="46" eb="48">
      <t>バアイ</t>
    </rPh>
    <phoneticPr fontId="10"/>
  </si>
  <si>
    <t xml:space="preserve">     4)四捨五入の関係で、共済掛金欄の「総額」は、「農家負担」と「国庫負担」の合計と異なる場合がある。</t>
    <rPh sb="7" eb="11">
      <t>シシャゴニュウ</t>
    </rPh>
    <rPh sb="12" eb="14">
      <t>カンケイ</t>
    </rPh>
    <rPh sb="16" eb="18">
      <t>キョウサイ</t>
    </rPh>
    <rPh sb="18" eb="20">
      <t>カケキン</t>
    </rPh>
    <rPh sb="20" eb="21">
      <t>ラン</t>
    </rPh>
    <rPh sb="23" eb="25">
      <t>ソウガク</t>
    </rPh>
    <rPh sb="29" eb="31">
      <t>ノウカ</t>
    </rPh>
    <rPh sb="31" eb="33">
      <t>フタン</t>
    </rPh>
    <rPh sb="36" eb="38">
      <t>コッコ</t>
    </rPh>
    <rPh sb="38" eb="40">
      <t>フタン</t>
    </rPh>
    <rPh sb="42" eb="44">
      <t>ゴウケイ</t>
    </rPh>
    <rPh sb="45" eb="46">
      <t>コト</t>
    </rPh>
    <rPh sb="48" eb="50">
      <t>バアイ</t>
    </rPh>
    <phoneticPr fontId="3"/>
  </si>
  <si>
    <t xml:space="preserve">     5)四捨五入の関係で、「家畜」の値は、「死廃」と「病傷」の合計と異なる場合がある。</t>
    <rPh sb="7" eb="11">
      <t>シシャゴニュウ</t>
    </rPh>
    <rPh sb="12" eb="14">
      <t>カンケイ</t>
    </rPh>
    <rPh sb="17" eb="19">
      <t>カチク</t>
    </rPh>
    <rPh sb="21" eb="22">
      <t>アタイ</t>
    </rPh>
    <rPh sb="25" eb="26">
      <t>シ</t>
    </rPh>
    <rPh sb="26" eb="27">
      <t>ハイ</t>
    </rPh>
    <rPh sb="30" eb="31">
      <t>ヤマイ</t>
    </rPh>
    <rPh sb="31" eb="32">
      <t>キズ</t>
    </rPh>
    <rPh sb="34" eb="36">
      <t>ゴウケイ</t>
    </rPh>
    <rPh sb="37" eb="38">
      <t>コト</t>
    </rPh>
    <rPh sb="40" eb="42">
      <t>バアイ</t>
    </rPh>
    <phoneticPr fontId="10"/>
  </si>
  <si>
    <t xml:space="preserve">     2)「水稲」、「麦」、「温州みかん」、「なし」及び「大豆」の「引受戸数」と「被害戸数」については実数。</t>
    <phoneticPr fontId="10"/>
  </si>
  <si>
    <t>　　 　「家畜」及び「園芸施設」の「引受戸数」と「被害戸数」については延べ数。</t>
    <rPh sb="12" eb="13">
      <t>ゲイ</t>
    </rPh>
    <phoneticPr fontId="10"/>
  </si>
  <si>
    <t>麦( 30年産)</t>
    <phoneticPr fontId="3"/>
  </si>
  <si>
    <t>なし( 30年産)</t>
    <phoneticPr fontId="3"/>
  </si>
  <si>
    <r>
      <t>6-24　農業共済組合が行う共済事業</t>
    </r>
    <r>
      <rPr>
        <sz val="12"/>
        <rFont val="ＭＳ 明朝"/>
        <family val="1"/>
        <charset val="128"/>
      </rPr>
      <t xml:space="preserve"> 　(平成26～30年度)</t>
    </r>
    <rPh sb="6" eb="7">
      <t>ギョウ</t>
    </rPh>
    <rPh sb="7" eb="9">
      <t>キョウサイ</t>
    </rPh>
    <rPh sb="9" eb="11">
      <t>クミアイ</t>
    </rPh>
    <rPh sb="12" eb="13">
      <t>オコナ</t>
    </rPh>
    <rPh sb="14" eb="16">
      <t>キョウサイ</t>
    </rPh>
    <rPh sb="16" eb="18">
      <t>ジギョウ</t>
    </rPh>
    <rPh sb="29" eb="30">
      <t>ド</t>
    </rPh>
    <phoneticPr fontId="4"/>
  </si>
  <si>
    <t>引受面積
(A)</t>
    <rPh sb="0" eb="2">
      <t>ヒキウケ</t>
    </rPh>
    <phoneticPr fontId="3"/>
  </si>
  <si>
    <t>引受頭数等
(B)</t>
    <rPh sb="0" eb="2">
      <t>ヒキウケ</t>
    </rPh>
    <rPh sb="2" eb="4">
      <t>トウスウ</t>
    </rPh>
    <rPh sb="4" eb="5">
      <t>トウ</t>
    </rPh>
    <phoneticPr fontId="10"/>
  </si>
  <si>
    <t>共済金額
(契約保険額)
(C)</t>
    <phoneticPr fontId="10"/>
  </si>
  <si>
    <t>年度
区分</t>
    <phoneticPr fontId="10"/>
  </si>
  <si>
    <t>被害面積
(D)</t>
    <phoneticPr fontId="10"/>
  </si>
  <si>
    <t>農家受取
共済金
(F)</t>
    <rPh sb="0" eb="2">
      <t>ノウカ</t>
    </rPh>
    <rPh sb="2" eb="4">
      <t>ウケトリ</t>
    </rPh>
    <phoneticPr fontId="3"/>
  </si>
  <si>
    <t>組合受取
保険金
(連合会から)</t>
    <rPh sb="0" eb="2">
      <t>クミアイ</t>
    </rPh>
    <rPh sb="2" eb="4">
      <t>ウケトリ</t>
    </rPh>
    <phoneticPr fontId="3"/>
  </si>
  <si>
    <t>面積被害率
(D)/(A)</t>
    <phoneticPr fontId="10"/>
  </si>
  <si>
    <t>被害頭数等
(E)</t>
    <rPh sb="0" eb="2">
      <t>ヒガイ</t>
    </rPh>
    <rPh sb="2" eb="4">
      <t>トウスウ</t>
    </rPh>
    <rPh sb="4" eb="5">
      <t>トウ</t>
    </rPh>
    <phoneticPr fontId="10"/>
  </si>
  <si>
    <t>金額被害率
(F)/(C)</t>
    <phoneticPr fontId="4"/>
  </si>
  <si>
    <t>頭数・棟数
被  害  率
(E)/(B)</t>
    <rPh sb="3" eb="4">
      <t>トウ</t>
    </rPh>
    <rPh sb="4" eb="5">
      <t>カズ</t>
    </rPh>
    <phoneticPr fontId="3"/>
  </si>
  <si>
    <t>-</t>
  </si>
  <si>
    <t>温州みかん( 30 年 産 )</t>
    <phoneticPr fontId="3"/>
  </si>
  <si>
    <t>平成 26 年度</t>
    <rPh sb="6" eb="7">
      <t>ネン</t>
    </rPh>
    <rPh sb="7" eb="8">
      <t>ド</t>
    </rPh>
    <phoneticPr fontId="3"/>
  </si>
  <si>
    <t>28</t>
    <phoneticPr fontId="10"/>
  </si>
  <si>
    <t>29</t>
    <phoneticPr fontId="10"/>
  </si>
  <si>
    <t>30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</si>
</sst>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\ ###"/>
    <numFmt numFmtId="177" formatCode="0.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7" applyFont="1" applyFill="1"/>
    <xf numFmtId="0" fontId="5" fillId="0" borderId="0" xfId="8" applyFont="1" applyFill="1"/>
    <xf numFmtId="0" fontId="2" fillId="0" borderId="0" xfId="8" applyFont="1" applyFill="1"/>
    <xf numFmtId="0" fontId="2" fillId="0" borderId="0" xfId="7" applyFont="1" applyFill="1" applyAlignment="1">
      <alignment vertical="center"/>
    </xf>
    <xf numFmtId="0" fontId="2" fillId="0" borderId="0" xfId="7" applyFont="1" applyFill="1" applyAlignment="1"/>
    <xf numFmtId="176" fontId="2" fillId="0" borderId="0" xfId="7" applyNumberFormat="1" applyFont="1" applyFill="1" applyAlignment="1"/>
    <xf numFmtId="0" fontId="8" fillId="0" borderId="0" xfId="7" applyFont="1" applyFill="1" applyAlignment="1"/>
    <xf numFmtId="0" fontId="2" fillId="0" borderId="0" xfId="7" applyFont="1" applyFill="1" applyBorder="1" applyAlignment="1"/>
    <xf numFmtId="0" fontId="2" fillId="0" borderId="0" xfId="7" applyFont="1" applyFill="1" applyBorder="1"/>
    <xf numFmtId="0" fontId="4" fillId="0" borderId="0" xfId="8" applyFont="1" applyFill="1" applyAlignment="1">
      <alignment horizontal="centerContinuous"/>
    </xf>
    <xf numFmtId="0" fontId="2" fillId="0" borderId="0" xfId="8" applyFont="1" applyFill="1" applyAlignment="1">
      <alignment horizontal="centerContinuous"/>
    </xf>
    <xf numFmtId="0" fontId="2" fillId="0" borderId="1" xfId="8" applyFont="1" applyFill="1" applyBorder="1" applyAlignment="1">
      <alignment vertical="center"/>
    </xf>
    <xf numFmtId="0" fontId="2" fillId="0" borderId="0" xfId="8" applyFont="1" applyFill="1" applyAlignment="1">
      <alignment vertical="center"/>
    </xf>
    <xf numFmtId="0" fontId="6" fillId="0" borderId="0" xfId="8" applyFont="1" applyFill="1" applyAlignment="1">
      <alignment horizontal="right" vertical="center"/>
    </xf>
    <xf numFmtId="0" fontId="5" fillId="0" borderId="0" xfId="8" applyFont="1" applyFill="1" applyAlignment="1">
      <alignment horizontal="right" vertical="center"/>
    </xf>
    <xf numFmtId="0" fontId="5" fillId="0" borderId="0" xfId="7" applyFont="1" applyFill="1" applyAlignment="1"/>
    <xf numFmtId="176" fontId="5" fillId="0" borderId="0" xfId="7" applyNumberFormat="1" applyFont="1" applyFill="1" applyAlignment="1"/>
    <xf numFmtId="176" fontId="5" fillId="0" borderId="0" xfId="8" applyNumberFormat="1" applyFont="1" applyFill="1" applyAlignment="1">
      <alignment horizontal="right"/>
    </xf>
    <xf numFmtId="176" fontId="5" fillId="0" borderId="0" xfId="8" applyNumberFormat="1" applyFont="1" applyFill="1" applyAlignment="1"/>
    <xf numFmtId="0" fontId="7" fillId="0" borderId="0" xfId="7" applyFont="1" applyFill="1" applyAlignment="1"/>
    <xf numFmtId="176" fontId="7" fillId="0" borderId="0" xfId="7" applyNumberFormat="1" applyFont="1" applyFill="1" applyAlignment="1"/>
    <xf numFmtId="49" fontId="5" fillId="0" borderId="1" xfId="8" quotePrefix="1" applyNumberFormat="1" applyFont="1" applyFill="1" applyBorder="1" applyAlignment="1">
      <alignment horizontal="left"/>
    </xf>
    <xf numFmtId="0" fontId="5" fillId="0" borderId="1" xfId="8" applyFont="1" applyFill="1" applyBorder="1" applyAlignment="1">
      <alignment horizontal="distributed"/>
    </xf>
    <xf numFmtId="0" fontId="5" fillId="0" borderId="5" xfId="8" applyFont="1" applyFill="1" applyBorder="1" applyAlignment="1">
      <alignment horizontal="distributed"/>
    </xf>
    <xf numFmtId="176" fontId="5" fillId="0" borderId="2" xfId="8" applyNumberFormat="1" applyFont="1" applyFill="1" applyBorder="1" applyAlignment="1">
      <alignment horizontal="right"/>
    </xf>
    <xf numFmtId="177" fontId="5" fillId="0" borderId="2" xfId="8" applyNumberFormat="1" applyFont="1" applyFill="1" applyBorder="1" applyAlignment="1">
      <alignment horizontal="right"/>
    </xf>
    <xf numFmtId="0" fontId="2" fillId="0" borderId="0" xfId="8" applyFont="1" applyFill="1" applyAlignment="1">
      <alignment horizontal="right" vertical="center"/>
    </xf>
    <xf numFmtId="177" fontId="5" fillId="0" borderId="0" xfId="8" applyNumberFormat="1" applyFont="1" applyFill="1" applyAlignment="1">
      <alignment horizontal="right"/>
    </xf>
    <xf numFmtId="176" fontId="7" fillId="0" borderId="0" xfId="8" applyNumberFormat="1" applyFont="1" applyFill="1" applyAlignment="1">
      <alignment horizontal="right"/>
    </xf>
    <xf numFmtId="0" fontId="2" fillId="0" borderId="1" xfId="8" applyFont="1" applyFill="1" applyBorder="1" applyAlignment="1">
      <alignment horizontal="right"/>
    </xf>
    <xf numFmtId="176" fontId="5" fillId="0" borderId="0" xfId="8" applyNumberFormat="1" applyFont="1" applyFill="1" applyBorder="1" applyAlignment="1">
      <alignment horizontal="right"/>
    </xf>
    <xf numFmtId="176" fontId="5" fillId="0" borderId="0" xfId="8" applyNumberFormat="1" applyFont="1" applyFill="1" applyBorder="1" applyAlignment="1"/>
    <xf numFmtId="176" fontId="5" fillId="0" borderId="0" xfId="7" applyNumberFormat="1" applyFont="1" applyFill="1" applyAlignment="1">
      <alignment horizontal="right"/>
    </xf>
    <xf numFmtId="177" fontId="5" fillId="0" borderId="0" xfId="1" applyNumberFormat="1" applyFont="1" applyFill="1" applyAlignment="1">
      <alignment horizontal="right"/>
    </xf>
    <xf numFmtId="0" fontId="5" fillId="0" borderId="0" xfId="8" applyNumberFormat="1" applyFont="1" applyFill="1" applyAlignment="1">
      <alignment horizontal="right"/>
    </xf>
    <xf numFmtId="176" fontId="7" fillId="0" borderId="0" xfId="7" applyNumberFormat="1" applyFont="1" applyFill="1" applyAlignment="1">
      <alignment horizontal="right"/>
    </xf>
    <xf numFmtId="177" fontId="7" fillId="0" borderId="0" xfId="1" applyNumberFormat="1" applyFont="1" applyFill="1" applyAlignment="1">
      <alignment horizontal="right"/>
    </xf>
    <xf numFmtId="177" fontId="5" fillId="0" borderId="0" xfId="8" applyNumberFormat="1" applyFont="1" applyFill="1" applyBorder="1" applyAlignment="1">
      <alignment horizontal="right"/>
    </xf>
    <xf numFmtId="0" fontId="6" fillId="0" borderId="0" xfId="7" applyFont="1" applyFill="1"/>
    <xf numFmtId="49" fontId="5" fillId="0" borderId="1" xfId="6" applyNumberFormat="1" applyFont="1" applyFill="1" applyBorder="1" applyAlignment="1">
      <alignment horizontal="center"/>
    </xf>
    <xf numFmtId="49" fontId="7" fillId="0" borderId="1" xfId="6" applyNumberFormat="1" applyFont="1" applyFill="1" applyBorder="1" applyAlignment="1">
      <alignment horizontal="center"/>
    </xf>
    <xf numFmtId="49" fontId="5" fillId="0" borderId="1" xfId="8" quotePrefix="1" applyNumberFormat="1" applyFont="1" applyFill="1" applyBorder="1" applyAlignment="1">
      <alignment horizontal="center"/>
    </xf>
    <xf numFmtId="0" fontId="5" fillId="0" borderId="19" xfId="8" applyFont="1" applyFill="1" applyBorder="1" applyAlignment="1">
      <alignment horizontal="distributed" vertical="center" justifyLastLine="1"/>
    </xf>
    <xf numFmtId="0" fontId="5" fillId="0" borderId="14" xfId="8" applyFont="1" applyFill="1" applyBorder="1" applyAlignment="1">
      <alignment horizontal="distributed" vertical="center" justifyLastLine="1"/>
    </xf>
    <xf numFmtId="0" fontId="5" fillId="0" borderId="12" xfId="8" applyFont="1" applyFill="1" applyBorder="1" applyAlignment="1">
      <alignment horizontal="distributed" vertical="center" justifyLastLine="1"/>
    </xf>
    <xf numFmtId="49" fontId="5" fillId="0" borderId="19" xfId="8" applyNumberFormat="1" applyFont="1" applyFill="1" applyBorder="1" applyAlignment="1">
      <alignment horizontal="distributed" vertical="center" wrapText="1" justifyLastLine="1"/>
    </xf>
    <xf numFmtId="49" fontId="5" fillId="0" borderId="14" xfId="8" applyNumberFormat="1" applyFont="1" applyFill="1" applyBorder="1" applyAlignment="1">
      <alignment horizontal="distributed" vertical="center" wrapText="1" justifyLastLine="1"/>
    </xf>
    <xf numFmtId="49" fontId="5" fillId="0" borderId="12" xfId="8" applyNumberFormat="1" applyFont="1" applyFill="1" applyBorder="1" applyAlignment="1">
      <alignment horizontal="distributed" vertical="center" wrapText="1" justifyLastLine="1"/>
    </xf>
    <xf numFmtId="0" fontId="5" fillId="0" borderId="19" xfId="8" applyFont="1" applyFill="1" applyBorder="1" applyAlignment="1">
      <alignment horizontal="distributed" vertical="center" wrapText="1" justifyLastLine="1"/>
    </xf>
    <xf numFmtId="0" fontId="5" fillId="0" borderId="14" xfId="8" applyFont="1" applyFill="1" applyBorder="1" applyAlignment="1">
      <alignment horizontal="distributed" vertical="center" wrapText="1" justifyLastLine="1"/>
    </xf>
    <xf numFmtId="0" fontId="5" fillId="0" borderId="12" xfId="8" applyFont="1" applyFill="1" applyBorder="1" applyAlignment="1">
      <alignment horizontal="distributed" vertical="center" wrapText="1" justifyLastLine="1"/>
    </xf>
    <xf numFmtId="0" fontId="5" fillId="0" borderId="7" xfId="8" applyFont="1" applyFill="1" applyBorder="1" applyAlignment="1">
      <alignment horizontal="distributed" vertical="center" wrapText="1" justifyLastLine="1"/>
    </xf>
    <xf numFmtId="0" fontId="5" fillId="0" borderId="1" xfId="8" applyFont="1" applyFill="1" applyBorder="1" applyAlignment="1">
      <alignment horizontal="distributed" vertical="center" wrapText="1" justifyLastLine="1"/>
    </xf>
    <xf numFmtId="0" fontId="5" fillId="0" borderId="10" xfId="8" applyFont="1" applyFill="1" applyBorder="1" applyAlignment="1">
      <alignment horizontal="distributed" vertical="center" wrapText="1" justifyLastLine="1"/>
    </xf>
    <xf numFmtId="0" fontId="5" fillId="0" borderId="18" xfId="8" applyFont="1" applyFill="1" applyBorder="1" applyAlignment="1">
      <alignment horizontal="distributed" vertical="center" justifyLastLine="1"/>
    </xf>
    <xf numFmtId="0" fontId="5" fillId="0" borderId="16" xfId="8" applyFont="1" applyFill="1" applyBorder="1" applyAlignment="1">
      <alignment horizontal="distributed" vertical="center" wrapText="1" justifyLastLine="1"/>
    </xf>
    <xf numFmtId="0" fontId="5" fillId="0" borderId="17" xfId="8" applyFont="1" applyFill="1" applyBorder="1" applyAlignment="1">
      <alignment horizontal="distributed" vertical="center" wrapText="1" justifyLastLine="1"/>
    </xf>
    <xf numFmtId="0" fontId="5" fillId="0" borderId="8" xfId="8" applyFont="1" applyFill="1" applyBorder="1" applyAlignment="1">
      <alignment horizontal="distributed" vertical="center" wrapText="1" justifyLastLine="1"/>
    </xf>
    <xf numFmtId="0" fontId="5" fillId="0" borderId="6" xfId="8" applyFont="1" applyFill="1" applyBorder="1" applyAlignment="1">
      <alignment horizontal="distributed" vertical="center" wrapText="1" justifyLastLine="1"/>
    </xf>
    <xf numFmtId="0" fontId="5" fillId="0" borderId="4" xfId="8" applyFont="1" applyFill="1" applyBorder="1" applyAlignment="1">
      <alignment horizontal="distributed" vertical="center" justifyLastLine="1"/>
    </xf>
    <xf numFmtId="0" fontId="5" fillId="0" borderId="3" xfId="8" applyFont="1" applyFill="1" applyBorder="1" applyAlignment="1">
      <alignment horizontal="distributed" vertical="center" justifyLastLine="1"/>
    </xf>
    <xf numFmtId="0" fontId="5" fillId="0" borderId="6" xfId="8" applyFont="1" applyFill="1" applyBorder="1" applyAlignment="1">
      <alignment horizontal="distributed" vertical="center" justifyLastLine="1"/>
    </xf>
    <xf numFmtId="0" fontId="5" fillId="0" borderId="13" xfId="8" applyFont="1" applyFill="1" applyBorder="1" applyAlignment="1">
      <alignment horizontal="distributed" vertical="center" justifyLastLine="1"/>
    </xf>
    <xf numFmtId="0" fontId="5" fillId="0" borderId="18" xfId="8" applyFont="1" applyFill="1" applyBorder="1" applyAlignment="1">
      <alignment horizontal="distributed" vertical="center" wrapText="1" justifyLastLine="1"/>
    </xf>
    <xf numFmtId="0" fontId="5" fillId="0" borderId="9" xfId="8" applyFont="1" applyFill="1" applyBorder="1" applyAlignment="1">
      <alignment horizontal="distributed" vertical="center" justifyLastLine="1"/>
    </xf>
    <xf numFmtId="0" fontId="5" fillId="0" borderId="11" xfId="8" applyFont="1" applyFill="1" applyBorder="1" applyAlignment="1">
      <alignment horizontal="distributed" vertical="center" justifyLastLine="1"/>
    </xf>
    <xf numFmtId="0" fontId="5" fillId="0" borderId="10" xfId="8" applyFont="1" applyFill="1" applyBorder="1" applyAlignment="1">
      <alignment horizontal="distributed" vertical="center" justifyLastLine="1"/>
    </xf>
    <xf numFmtId="0" fontId="5" fillId="0" borderId="15" xfId="8" applyFont="1" applyFill="1" applyBorder="1" applyAlignment="1">
      <alignment horizontal="distributed" vertical="center" justifyLastLine="1"/>
    </xf>
  </cellXfs>
  <cellStyles count="9">
    <cellStyle name="パーセント" xfId="1" builtinId="5"/>
    <cellStyle name="桁区切り 2" xfId="2" xr:uid="{00000000-0005-0000-0000-000002000000}"/>
    <cellStyle name="桁区切り 2 2" xfId="3" xr:uid="{00000000-0005-0000-0000-000003000000}"/>
    <cellStyle name="桁区切り 3" xfId="4" xr:uid="{00000000-0005-0000-0000-000004000000}"/>
    <cellStyle name="標準" xfId="0" builtinId="0"/>
    <cellStyle name="標準 2" xfId="5" xr:uid="{00000000-0005-0000-0000-000006000000}"/>
    <cellStyle name="標準_047～049．052．055～058．063_農業" xfId="6" xr:uid="{00000000-0005-0000-0000-000009000000}"/>
    <cellStyle name="標準_064_農業" xfId="7" xr:uid="{00000000-0005-0000-0000-00000D000000}"/>
    <cellStyle name="標準_57流通~2" xfId="8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/>
  </sheetPr>
  <dimension ref="A1:K53"/>
  <sheetViews>
    <sheetView showGridLines="0" tabSelected="1" view="pageBreakPreview" zoomScale="115" zoomScaleNormal="80" zoomScaleSheetLayoutView="115" workbookViewId="0">
      <selection activeCell="O33" sqref="O33"/>
    </sheetView>
  </sheetViews>
  <sheetFormatPr defaultColWidth="8" defaultRowHeight="12" x14ac:dyDescent="0.15"/>
  <cols>
    <col min="1" max="1" width="19.125" style="1" customWidth="1"/>
    <col min="2" max="5" width="9.625" style="1" customWidth="1"/>
    <col min="6" max="6" width="10.625" style="1" customWidth="1"/>
    <col min="7" max="9" width="9.625" style="1" customWidth="1"/>
    <col min="10" max="16384" width="8" style="1"/>
  </cols>
  <sheetData>
    <row r="1" spans="1:11" ht="18.75" customHeight="1" x14ac:dyDescent="0.2">
      <c r="A1" s="10" t="s">
        <v>33</v>
      </c>
      <c r="B1" s="11"/>
      <c r="C1" s="11"/>
      <c r="D1" s="11"/>
      <c r="E1" s="11"/>
      <c r="F1" s="11"/>
      <c r="G1" s="11"/>
      <c r="H1" s="11"/>
      <c r="I1" s="11"/>
    </row>
    <row r="2" spans="1:11" ht="18.75" customHeight="1" thickBot="1" x14ac:dyDescent="0.2">
      <c r="A2" s="3"/>
      <c r="B2" s="3"/>
      <c r="C2" s="3"/>
      <c r="D2" s="3"/>
      <c r="E2" s="3"/>
      <c r="F2" s="3"/>
      <c r="G2" s="3"/>
      <c r="H2" s="3"/>
      <c r="I2" s="3"/>
    </row>
    <row r="3" spans="1:11" ht="15" customHeight="1" x14ac:dyDescent="0.15">
      <c r="A3" s="52" t="s">
        <v>37</v>
      </c>
      <c r="B3" s="55" t="s">
        <v>15</v>
      </c>
      <c r="C3" s="55" t="s">
        <v>9</v>
      </c>
      <c r="D3" s="64" t="s">
        <v>34</v>
      </c>
      <c r="E3" s="64" t="s">
        <v>35</v>
      </c>
      <c r="F3" s="64" t="s">
        <v>36</v>
      </c>
      <c r="G3" s="60" t="s">
        <v>19</v>
      </c>
      <c r="H3" s="61"/>
      <c r="I3" s="61"/>
    </row>
    <row r="4" spans="1:11" ht="15" customHeight="1" x14ac:dyDescent="0.15">
      <c r="A4" s="53"/>
      <c r="B4" s="44"/>
      <c r="C4" s="44"/>
      <c r="D4" s="50"/>
      <c r="E4" s="50"/>
      <c r="F4" s="50"/>
      <c r="G4" s="62"/>
      <c r="H4" s="63"/>
      <c r="I4" s="63"/>
    </row>
    <row r="5" spans="1:11" ht="15" customHeight="1" x14ac:dyDescent="0.15">
      <c r="A5" s="53"/>
      <c r="B5" s="44"/>
      <c r="C5" s="44"/>
      <c r="D5" s="50"/>
      <c r="E5" s="50"/>
      <c r="F5" s="50"/>
      <c r="G5" s="68" t="s">
        <v>16</v>
      </c>
      <c r="H5" s="66" t="s">
        <v>1</v>
      </c>
      <c r="I5" s="65" t="s">
        <v>2</v>
      </c>
    </row>
    <row r="6" spans="1:11" ht="15" customHeight="1" x14ac:dyDescent="0.15">
      <c r="A6" s="54"/>
      <c r="B6" s="45"/>
      <c r="C6" s="45"/>
      <c r="D6" s="51"/>
      <c r="E6" s="51"/>
      <c r="F6" s="51"/>
      <c r="G6" s="45"/>
      <c r="H6" s="67"/>
      <c r="I6" s="63"/>
    </row>
    <row r="7" spans="1:11" s="4" customFormat="1" ht="18.75" customHeight="1" x14ac:dyDescent="0.15">
      <c r="A7" s="12"/>
      <c r="B7" s="13"/>
      <c r="C7" s="14" t="s">
        <v>0</v>
      </c>
      <c r="D7" s="15" t="s">
        <v>17</v>
      </c>
      <c r="E7" s="14" t="s">
        <v>18</v>
      </c>
      <c r="F7" s="14" t="s">
        <v>10</v>
      </c>
      <c r="G7" s="14" t="s">
        <v>10</v>
      </c>
      <c r="H7" s="14" t="s">
        <v>11</v>
      </c>
      <c r="I7" s="14" t="s">
        <v>11</v>
      </c>
    </row>
    <row r="8" spans="1:11" s="5" customFormat="1" ht="18.75" customHeight="1" x14ac:dyDescent="0.15">
      <c r="A8" s="40" t="s">
        <v>47</v>
      </c>
      <c r="B8" s="16">
        <v>7</v>
      </c>
      <c r="C8" s="33">
        <v>39955</v>
      </c>
      <c r="D8" s="33">
        <f>5467660.2/100</f>
        <v>54676.601999999999</v>
      </c>
      <c r="E8" s="33">
        <v>74421</v>
      </c>
      <c r="F8" s="17">
        <f>47718947745/1000000</f>
        <v>47718.947744999998</v>
      </c>
      <c r="G8" s="17">
        <f>3088970695/1000000</f>
        <v>3088.970695</v>
      </c>
      <c r="H8" s="17">
        <f>1493460017/1000000</f>
        <v>1493.4600170000001</v>
      </c>
      <c r="I8" s="17">
        <f>1595510678/1000000</f>
        <v>1595.5106780000001</v>
      </c>
    </row>
    <row r="9" spans="1:11" s="5" customFormat="1" ht="18.75" customHeight="1" x14ac:dyDescent="0.15">
      <c r="A9" s="40" t="s">
        <v>20</v>
      </c>
      <c r="B9" s="16">
        <v>7</v>
      </c>
      <c r="C9" s="33">
        <v>38830</v>
      </c>
      <c r="D9" s="33">
        <f>5445840.9/100</f>
        <v>54458.409000000007</v>
      </c>
      <c r="E9" s="33">
        <v>76098</v>
      </c>
      <c r="F9" s="17">
        <f>63231073503/1000000</f>
        <v>63231.073503</v>
      </c>
      <c r="G9" s="17">
        <f>2652426423/1000000</f>
        <v>2652.4264229999999</v>
      </c>
      <c r="H9" s="17">
        <f>1285254339/1000000</f>
        <v>1285.2543390000001</v>
      </c>
      <c r="I9" s="17">
        <f>1367172084/1000000</f>
        <v>1367.172084</v>
      </c>
    </row>
    <row r="10" spans="1:11" s="5" customFormat="1" ht="18.75" customHeight="1" x14ac:dyDescent="0.15">
      <c r="A10" s="40" t="s">
        <v>48</v>
      </c>
      <c r="B10" s="16">
        <v>7</v>
      </c>
      <c r="C10" s="33">
        <v>34684</v>
      </c>
      <c r="D10" s="33">
        <f>5425814.2/100</f>
        <v>54258.142</v>
      </c>
      <c r="E10" s="33">
        <v>73299</v>
      </c>
      <c r="F10" s="17">
        <f>55721912625/1000000</f>
        <v>55721.912624999997</v>
      </c>
      <c r="G10" s="17">
        <f>2500993160/1000000</f>
        <v>2500.99316</v>
      </c>
      <c r="H10" s="17">
        <f>1218483093/1000000</f>
        <v>1218.4830930000001</v>
      </c>
      <c r="I10" s="17">
        <f>1282510067/1000000</f>
        <v>1282.5100669999999</v>
      </c>
      <c r="K10" s="6"/>
    </row>
    <row r="11" spans="1:11" s="5" customFormat="1" ht="18.75" customHeight="1" x14ac:dyDescent="0.15">
      <c r="A11" s="40" t="s">
        <v>49</v>
      </c>
      <c r="B11" s="16">
        <v>7</v>
      </c>
      <c r="C11" s="33">
        <v>31902</v>
      </c>
      <c r="D11" s="33">
        <f>5363267.2/100</f>
        <v>53632.671999999999</v>
      </c>
      <c r="E11" s="33">
        <v>73572</v>
      </c>
      <c r="F11" s="17">
        <f>59896213503/1000000</f>
        <v>59896.213502999999</v>
      </c>
      <c r="G11" s="17">
        <f>2339781517/1000000</f>
        <v>2339.7815169999999</v>
      </c>
      <c r="H11" s="17">
        <f>1159021550/1000000</f>
        <v>1159.0215499999999</v>
      </c>
      <c r="I11" s="17">
        <f>1180759967/1000000</f>
        <v>1180.759967</v>
      </c>
    </row>
    <row r="12" spans="1:11" s="7" customFormat="1" ht="18.75" customHeight="1" x14ac:dyDescent="0.15">
      <c r="A12" s="41" t="s">
        <v>50</v>
      </c>
      <c r="B12" s="20">
        <v>7</v>
      </c>
      <c r="C12" s="36">
        <v>30137</v>
      </c>
      <c r="D12" s="36">
        <f>5338749.9/100</f>
        <v>53387.499000000003</v>
      </c>
      <c r="E12" s="36">
        <v>85257</v>
      </c>
      <c r="F12" s="21">
        <f>61835599189/1000000</f>
        <v>61835.599189</v>
      </c>
      <c r="G12" s="21">
        <f>2289571274/1000000</f>
        <v>2289.5712739999999</v>
      </c>
      <c r="H12" s="21">
        <f>1141497373/1000000</f>
        <v>1141.4973729999999</v>
      </c>
      <c r="I12" s="21">
        <f>1148073901/1000000</f>
        <v>1148.073901</v>
      </c>
    </row>
    <row r="13" spans="1:11" s="5" customFormat="1" ht="15" customHeight="1" x14ac:dyDescent="0.15">
      <c r="A13" s="42"/>
      <c r="B13" s="19"/>
      <c r="C13" s="18"/>
      <c r="D13" s="18"/>
      <c r="E13" s="18"/>
      <c r="F13" s="19"/>
      <c r="G13" s="19"/>
      <c r="H13" s="19"/>
      <c r="I13" s="19"/>
    </row>
    <row r="14" spans="1:11" s="5" customFormat="1" ht="18.75" customHeight="1" x14ac:dyDescent="0.15">
      <c r="A14" s="23" t="s">
        <v>12</v>
      </c>
      <c r="B14" s="16">
        <v>7</v>
      </c>
      <c r="C14" s="19">
        <v>15744</v>
      </c>
      <c r="D14" s="19">
        <f>2435213.1/100</f>
        <v>24352.131000000001</v>
      </c>
      <c r="E14" s="18" t="s">
        <v>45</v>
      </c>
      <c r="F14" s="19">
        <f>15265974268/1000000</f>
        <v>15265.974268</v>
      </c>
      <c r="G14" s="19">
        <f>641341136/1000000</f>
        <v>641.34113600000001</v>
      </c>
      <c r="H14" s="19">
        <f>320674621/1000000</f>
        <v>320.674621</v>
      </c>
      <c r="I14" s="19">
        <f>320666515/1000000</f>
        <v>320.666515</v>
      </c>
    </row>
    <row r="15" spans="1:11" s="5" customFormat="1" ht="18.75" customHeight="1" x14ac:dyDescent="0.15">
      <c r="A15" s="23" t="s">
        <v>31</v>
      </c>
      <c r="B15" s="16">
        <v>7</v>
      </c>
      <c r="C15" s="19">
        <v>5229</v>
      </c>
      <c r="D15" s="19">
        <f>2077288.3/100</f>
        <v>20772.883000000002</v>
      </c>
      <c r="E15" s="18" t="s">
        <v>45</v>
      </c>
      <c r="F15" s="19">
        <f>6862414543/1000000</f>
        <v>6862.4145429999999</v>
      </c>
      <c r="G15" s="19">
        <f>596045753/1000000</f>
        <v>596.04575299999999</v>
      </c>
      <c r="H15" s="19">
        <f>278454495/1000000</f>
        <v>278.45449500000001</v>
      </c>
      <c r="I15" s="19">
        <f>317591258/1000000</f>
        <v>317.59125799999998</v>
      </c>
    </row>
    <row r="16" spans="1:11" s="5" customFormat="1" ht="18.75" customHeight="1" x14ac:dyDescent="0.15">
      <c r="A16" s="23" t="s">
        <v>3</v>
      </c>
      <c r="B16" s="16">
        <v>7</v>
      </c>
      <c r="C16" s="19">
        <v>717</v>
      </c>
      <c r="D16" s="18" t="s">
        <v>45</v>
      </c>
      <c r="E16" s="19">
        <v>77492</v>
      </c>
      <c r="F16" s="19">
        <f>18707857825/1000000</f>
        <v>18707.857824999999</v>
      </c>
      <c r="G16" s="19">
        <f>579409129/1000000</f>
        <v>579.40912900000001</v>
      </c>
      <c r="H16" s="19">
        <f>323957396/1000000</f>
        <v>323.95739600000002</v>
      </c>
      <c r="I16" s="19">
        <f>255451733/1000000</f>
        <v>255.45173299999999</v>
      </c>
    </row>
    <row r="17" spans="1:11" s="5" customFormat="1" ht="18.75" customHeight="1" x14ac:dyDescent="0.15">
      <c r="A17" s="23" t="s">
        <v>46</v>
      </c>
      <c r="B17" s="19">
        <v>4</v>
      </c>
      <c r="C17" s="19">
        <v>23</v>
      </c>
      <c r="D17" s="19">
        <f>38938.7/100</f>
        <v>389.38699999999994</v>
      </c>
      <c r="E17" s="18" t="s">
        <v>45</v>
      </c>
      <c r="F17" s="19">
        <f>522851000/1000000</f>
        <v>522.851</v>
      </c>
      <c r="G17" s="19">
        <f>7109761/1000000</f>
        <v>7.1097609999999998</v>
      </c>
      <c r="H17" s="19">
        <f>3554885/1000000</f>
        <v>3.5548850000000001</v>
      </c>
      <c r="I17" s="19">
        <f>3554876/1000000</f>
        <v>3.5548760000000001</v>
      </c>
    </row>
    <row r="18" spans="1:11" s="5" customFormat="1" ht="18.75" customHeight="1" x14ac:dyDescent="0.15">
      <c r="A18" s="23" t="s">
        <v>32</v>
      </c>
      <c r="B18" s="19">
        <v>1</v>
      </c>
      <c r="C18" s="19">
        <v>77</v>
      </c>
      <c r="D18" s="19">
        <f>6113.5/100</f>
        <v>61.134999999999998</v>
      </c>
      <c r="E18" s="18" t="s">
        <v>45</v>
      </c>
      <c r="F18" s="19">
        <f>197207000/1000000</f>
        <v>197.20699999999999</v>
      </c>
      <c r="G18" s="19">
        <f>3769742/1000000</f>
        <v>3.7697419999999999</v>
      </c>
      <c r="H18" s="19">
        <f>1884904/1000000</f>
        <v>1.8849039999999999</v>
      </c>
      <c r="I18" s="19">
        <f>1884838/1000000</f>
        <v>1.884838</v>
      </c>
    </row>
    <row r="19" spans="1:11" s="5" customFormat="1" ht="18.75" customHeight="1" x14ac:dyDescent="0.15">
      <c r="A19" s="23" t="s">
        <v>13</v>
      </c>
      <c r="B19" s="19">
        <v>7</v>
      </c>
      <c r="C19" s="19">
        <v>5683</v>
      </c>
      <c r="D19" s="19">
        <f>781196.3/100</f>
        <v>7811.9630000000006</v>
      </c>
      <c r="E19" s="18" t="s">
        <v>45</v>
      </c>
      <c r="F19" s="19">
        <f>4085470553/1000000</f>
        <v>4085.4705530000001</v>
      </c>
      <c r="G19" s="19">
        <f>391273222/1000000</f>
        <v>391.27322199999998</v>
      </c>
      <c r="H19" s="19">
        <f>176075657/1000000</f>
        <v>176.07565700000001</v>
      </c>
      <c r="I19" s="19">
        <f>215197565/1000000</f>
        <v>215.197565</v>
      </c>
    </row>
    <row r="20" spans="1:11" s="5" customFormat="1" ht="18.75" customHeight="1" x14ac:dyDescent="0.15">
      <c r="A20" s="23" t="s">
        <v>4</v>
      </c>
      <c r="B20" s="32">
        <v>7</v>
      </c>
      <c r="C20" s="32">
        <v>2664</v>
      </c>
      <c r="D20" s="18" t="s">
        <v>45</v>
      </c>
      <c r="E20" s="32">
        <v>7765</v>
      </c>
      <c r="F20" s="32">
        <f>16193824000/1000000</f>
        <v>16193.824000000001</v>
      </c>
      <c r="G20" s="32">
        <f>70622531/1000000</f>
        <v>70.622530999999995</v>
      </c>
      <c r="H20" s="32">
        <f>36895415/1000000</f>
        <v>36.895415</v>
      </c>
      <c r="I20" s="32">
        <f>33727116/1000000</f>
        <v>33.727116000000002</v>
      </c>
    </row>
    <row r="21" spans="1:11" s="8" customFormat="1" ht="15" customHeight="1" thickBot="1" x14ac:dyDescent="0.2">
      <c r="A21" s="23"/>
      <c r="B21" s="31"/>
      <c r="C21" s="31"/>
      <c r="D21" s="31"/>
      <c r="E21" s="31"/>
      <c r="F21" s="31"/>
      <c r="G21" s="38"/>
      <c r="H21" s="31"/>
      <c r="I21" s="38"/>
    </row>
    <row r="22" spans="1:11" ht="18.75" customHeight="1" thickTop="1" x14ac:dyDescent="0.15">
      <c r="A22" s="56" t="s">
        <v>37</v>
      </c>
      <c r="B22" s="49" t="s">
        <v>38</v>
      </c>
      <c r="C22" s="46" t="s">
        <v>42</v>
      </c>
      <c r="D22" s="43" t="s">
        <v>5</v>
      </c>
      <c r="E22" s="49" t="s">
        <v>39</v>
      </c>
      <c r="F22" s="49" t="s">
        <v>40</v>
      </c>
      <c r="G22" s="46" t="s">
        <v>43</v>
      </c>
      <c r="H22" s="49" t="s">
        <v>41</v>
      </c>
      <c r="I22" s="57" t="s">
        <v>44</v>
      </c>
    </row>
    <row r="23" spans="1:11" s="9" customFormat="1" ht="18.75" customHeight="1" x14ac:dyDescent="0.15">
      <c r="A23" s="53"/>
      <c r="B23" s="50"/>
      <c r="C23" s="47"/>
      <c r="D23" s="44"/>
      <c r="E23" s="50"/>
      <c r="F23" s="50"/>
      <c r="G23" s="47"/>
      <c r="H23" s="50"/>
      <c r="I23" s="58"/>
    </row>
    <row r="24" spans="1:11" ht="18.75" customHeight="1" x14ac:dyDescent="0.15">
      <c r="A24" s="54"/>
      <c r="B24" s="51"/>
      <c r="C24" s="48"/>
      <c r="D24" s="45"/>
      <c r="E24" s="51"/>
      <c r="F24" s="51"/>
      <c r="G24" s="48"/>
      <c r="H24" s="51"/>
      <c r="I24" s="59"/>
    </row>
    <row r="25" spans="1:11" s="4" customFormat="1" ht="18.75" customHeight="1" x14ac:dyDescent="0.15">
      <c r="A25" s="12"/>
      <c r="B25" s="15" t="s">
        <v>17</v>
      </c>
      <c r="C25" s="14" t="s">
        <v>24</v>
      </c>
      <c r="D25" s="14" t="s">
        <v>0</v>
      </c>
      <c r="E25" s="14" t="s">
        <v>11</v>
      </c>
      <c r="F25" s="14" t="s">
        <v>11</v>
      </c>
      <c r="G25" s="27" t="s">
        <v>6</v>
      </c>
      <c r="H25" s="27" t="s">
        <v>6</v>
      </c>
      <c r="I25" s="27" t="s">
        <v>6</v>
      </c>
    </row>
    <row r="26" spans="1:11" s="5" customFormat="1" ht="18.75" customHeight="1" x14ac:dyDescent="0.15">
      <c r="A26" s="40" t="s">
        <v>47</v>
      </c>
      <c r="B26" s="33">
        <f>1218521.5/100</f>
        <v>12185.215</v>
      </c>
      <c r="C26" s="33">
        <v>49613</v>
      </c>
      <c r="D26" s="33">
        <v>11941</v>
      </c>
      <c r="E26" s="17">
        <f>2015712450/1000000</f>
        <v>2015.71245</v>
      </c>
      <c r="F26" s="17">
        <f>1238031493/1000000</f>
        <v>1238.031493</v>
      </c>
      <c r="G26" s="34">
        <f>(E26/F8)*100</f>
        <v>4.2241343224321346</v>
      </c>
      <c r="H26" s="34">
        <f t="shared" ref="H26:I30" si="0">(B26/D8)*100</f>
        <v>22.285977098576829</v>
      </c>
      <c r="I26" s="34">
        <f t="shared" si="0"/>
        <v>66.665322959917233</v>
      </c>
    </row>
    <row r="27" spans="1:11" s="5" customFormat="1" ht="18.75" customHeight="1" x14ac:dyDescent="0.15">
      <c r="A27" s="40" t="s">
        <v>20</v>
      </c>
      <c r="B27" s="33">
        <f>1594576.1/100</f>
        <v>15945.761</v>
      </c>
      <c r="C27" s="33">
        <v>47722</v>
      </c>
      <c r="D27" s="33">
        <v>11466</v>
      </c>
      <c r="E27" s="17">
        <f>2190607631/1000000</f>
        <v>2190.6076309999999</v>
      </c>
      <c r="F27" s="17">
        <f>1372749751/1000000</f>
        <v>1372.7497510000001</v>
      </c>
      <c r="G27" s="34">
        <f>(E27/F9)*100</f>
        <v>3.4644479519963656</v>
      </c>
      <c r="H27" s="34">
        <f t="shared" si="0"/>
        <v>29.280622208408619</v>
      </c>
      <c r="I27" s="34">
        <f t="shared" si="0"/>
        <v>62.711240768482746</v>
      </c>
    </row>
    <row r="28" spans="1:11" s="5" customFormat="1" ht="18.75" customHeight="1" x14ac:dyDescent="0.15">
      <c r="A28" s="40" t="s">
        <v>48</v>
      </c>
      <c r="B28" s="33">
        <f>2032327.5/100</f>
        <v>20323.275000000001</v>
      </c>
      <c r="C28" s="33">
        <v>47897</v>
      </c>
      <c r="D28" s="33">
        <v>11055</v>
      </c>
      <c r="E28" s="17">
        <f>2589571343/1000000</f>
        <v>2589.5713430000001</v>
      </c>
      <c r="F28" s="17">
        <f>1671254087/1000000</f>
        <v>1671.254087</v>
      </c>
      <c r="G28" s="34">
        <f>(E28/F10)*100</f>
        <v>4.6473123785743349</v>
      </c>
      <c r="H28" s="34">
        <f t="shared" si="0"/>
        <v>37.45663646204472</v>
      </c>
      <c r="I28" s="34">
        <f t="shared" si="0"/>
        <v>65.344684102102349</v>
      </c>
    </row>
    <row r="29" spans="1:11" s="5" customFormat="1" ht="18.75" customHeight="1" x14ac:dyDescent="0.15">
      <c r="A29" s="40" t="s">
        <v>49</v>
      </c>
      <c r="B29" s="33">
        <f>959311.8/100</f>
        <v>9593.1180000000004</v>
      </c>
      <c r="C29" s="33">
        <v>50062</v>
      </c>
      <c r="D29" s="33">
        <v>5977</v>
      </c>
      <c r="E29" s="18">
        <f>1597731302/1000000</f>
        <v>1597.7313019999999</v>
      </c>
      <c r="F29" s="18">
        <f>823967668/1000000</f>
        <v>823.967668</v>
      </c>
      <c r="G29" s="34">
        <f>(E29/F11)*100</f>
        <v>2.667499677454527</v>
      </c>
      <c r="H29" s="34">
        <f t="shared" si="0"/>
        <v>17.886705327677877</v>
      </c>
      <c r="I29" s="34">
        <f t="shared" si="0"/>
        <v>68.04490838906105</v>
      </c>
      <c r="K29" s="6"/>
    </row>
    <row r="30" spans="1:11" s="7" customFormat="1" ht="18.75" customHeight="1" x14ac:dyDescent="0.15">
      <c r="A30" s="41" t="s">
        <v>50</v>
      </c>
      <c r="B30" s="36">
        <f>475609.6/100</f>
        <v>4756.0959999999995</v>
      </c>
      <c r="C30" s="36">
        <v>52982</v>
      </c>
      <c r="D30" s="36">
        <v>4336</v>
      </c>
      <c r="E30" s="29">
        <f>1383886944/1000000</f>
        <v>1383.8869440000001</v>
      </c>
      <c r="F30" s="29">
        <f>861672597/1000000</f>
        <v>861.672597</v>
      </c>
      <c r="G30" s="37">
        <f>(E30/F12)*100</f>
        <v>2.238010081814136</v>
      </c>
      <c r="H30" s="37">
        <f t="shared" si="0"/>
        <v>8.9086323373192648</v>
      </c>
      <c r="I30" s="37">
        <f t="shared" si="0"/>
        <v>62.143870884502149</v>
      </c>
    </row>
    <row r="31" spans="1:11" s="5" customFormat="1" ht="15" customHeight="1" x14ac:dyDescent="0.15">
      <c r="A31" s="22"/>
      <c r="B31" s="18"/>
      <c r="C31" s="18"/>
      <c r="D31" s="18"/>
      <c r="E31" s="18"/>
      <c r="F31" s="18"/>
      <c r="G31" s="28"/>
      <c r="H31" s="18"/>
      <c r="I31" s="18"/>
    </row>
    <row r="32" spans="1:11" s="5" customFormat="1" ht="18.75" customHeight="1" x14ac:dyDescent="0.15">
      <c r="A32" s="23" t="s">
        <v>12</v>
      </c>
      <c r="B32" s="18">
        <f>26944.4/100</f>
        <v>269.44400000000002</v>
      </c>
      <c r="C32" s="18" t="s">
        <v>45</v>
      </c>
      <c r="D32" s="18">
        <v>929</v>
      </c>
      <c r="E32" s="18">
        <f>55236686/1000000</f>
        <v>55.236685999999999</v>
      </c>
      <c r="F32" s="18">
        <f>13809170/1000000</f>
        <v>13.80917</v>
      </c>
      <c r="G32" s="28">
        <f>((E32*1000000)/(F14*1000000))*100</f>
        <v>0.36182876395766761</v>
      </c>
      <c r="H32" s="28">
        <f>((B32*100)/(D14*100))*100</f>
        <v>1.1064493698723943</v>
      </c>
      <c r="I32" s="18" t="s">
        <v>45</v>
      </c>
    </row>
    <row r="33" spans="1:9" s="5" customFormat="1" ht="18.75" customHeight="1" x14ac:dyDescent="0.15">
      <c r="A33" s="23" t="s">
        <v>31</v>
      </c>
      <c r="B33" s="18">
        <f>197163/100</f>
        <v>1971.63</v>
      </c>
      <c r="C33" s="18" t="s">
        <v>45</v>
      </c>
      <c r="D33" s="18">
        <v>925</v>
      </c>
      <c r="E33" s="18">
        <f>88220374/1000000</f>
        <v>88.220374000000007</v>
      </c>
      <c r="F33" s="18">
        <f>26466109/1000000</f>
        <v>26.466108999999999</v>
      </c>
      <c r="G33" s="28">
        <f>((E33*1000000)/(F15*1000000))*100</f>
        <v>1.2855587992711561</v>
      </c>
      <c r="H33" s="28">
        <f>((B33*100)/(D15*100))*100</f>
        <v>9.4913642944987462</v>
      </c>
      <c r="I33" s="18" t="s">
        <v>45</v>
      </c>
    </row>
    <row r="34" spans="1:9" s="5" customFormat="1" ht="18.75" customHeight="1" x14ac:dyDescent="0.15">
      <c r="A34" s="23" t="s">
        <v>3</v>
      </c>
      <c r="B34" s="18" t="s">
        <v>45</v>
      </c>
      <c r="C34" s="18">
        <f>C35+C36</f>
        <v>52455</v>
      </c>
      <c r="D34" s="18" t="s">
        <v>45</v>
      </c>
      <c r="E34" s="18">
        <f>(E35*1000000+E36*1000000)/1000000</f>
        <v>900.69072800000004</v>
      </c>
      <c r="F34" s="18">
        <f>(F35*1000000+F36*1000000)/1000000</f>
        <v>516.00146500000005</v>
      </c>
      <c r="G34" s="28">
        <f>(E34/F16)*100</f>
        <v>4.8145048803844004</v>
      </c>
      <c r="H34" s="18" t="s">
        <v>45</v>
      </c>
      <c r="I34" s="34">
        <f>(C34/E16)*100</f>
        <v>67.690858411190831</v>
      </c>
    </row>
    <row r="35" spans="1:9" s="5" customFormat="1" ht="18.75" customHeight="1" x14ac:dyDescent="0.15">
      <c r="A35" s="30" t="s">
        <v>7</v>
      </c>
      <c r="B35" s="18" t="s">
        <v>45</v>
      </c>
      <c r="C35" s="18">
        <v>2251</v>
      </c>
      <c r="D35" s="18" t="s">
        <v>45</v>
      </c>
      <c r="E35" s="18">
        <f>470174236/1000000</f>
        <v>470.17423600000001</v>
      </c>
      <c r="F35" s="18">
        <f>376073918/1000000</f>
        <v>376.07391799999999</v>
      </c>
      <c r="G35" s="28">
        <f>(E35/F16)*100</f>
        <v>2.5132446504467705</v>
      </c>
      <c r="H35" s="18" t="s">
        <v>45</v>
      </c>
      <c r="I35" s="28">
        <f>(C35/E16)*100</f>
        <v>2.9048159810044907</v>
      </c>
    </row>
    <row r="36" spans="1:9" s="5" customFormat="1" ht="18.75" customHeight="1" x14ac:dyDescent="0.15">
      <c r="A36" s="30" t="s">
        <v>8</v>
      </c>
      <c r="B36" s="18" t="s">
        <v>45</v>
      </c>
      <c r="C36" s="18">
        <v>50204</v>
      </c>
      <c r="D36" s="18" t="s">
        <v>45</v>
      </c>
      <c r="E36" s="18">
        <f>430516492/1000000</f>
        <v>430.51649200000003</v>
      </c>
      <c r="F36" s="18">
        <f>139927547/1000000</f>
        <v>139.927547</v>
      </c>
      <c r="G36" s="28">
        <f>(E36/F16)*100</f>
        <v>2.3012602299376308</v>
      </c>
      <c r="H36" s="18" t="s">
        <v>45</v>
      </c>
      <c r="I36" s="28">
        <f>(C36/E16)*100</f>
        <v>64.786042430186342</v>
      </c>
    </row>
    <row r="37" spans="1:9" s="5" customFormat="1" ht="18.75" customHeight="1" x14ac:dyDescent="0.15">
      <c r="A37" s="23" t="s">
        <v>46</v>
      </c>
      <c r="B37" s="35">
        <v>0</v>
      </c>
      <c r="C37" s="35">
        <v>0</v>
      </c>
      <c r="D37" s="35">
        <v>0</v>
      </c>
      <c r="E37" s="35">
        <v>0</v>
      </c>
      <c r="F37" s="35">
        <v>0</v>
      </c>
      <c r="G37" s="28">
        <f>(E37/F17)*100</f>
        <v>0</v>
      </c>
      <c r="H37" s="28">
        <f>(B37/D17)*100</f>
        <v>0</v>
      </c>
      <c r="I37" s="28" t="s">
        <v>45</v>
      </c>
    </row>
    <row r="38" spans="1:9" s="5" customFormat="1" ht="18.75" customHeight="1" x14ac:dyDescent="0.15">
      <c r="A38" s="23" t="s">
        <v>32</v>
      </c>
      <c r="B38" s="18">
        <f>263.7/100</f>
        <v>2.637</v>
      </c>
      <c r="C38" s="18" t="s">
        <v>45</v>
      </c>
      <c r="D38" s="18">
        <v>15</v>
      </c>
      <c r="E38" s="18">
        <f>1845822/1000000</f>
        <v>1.8458220000000001</v>
      </c>
      <c r="F38" s="18">
        <f>1292075/1000000</f>
        <v>1.2920750000000001</v>
      </c>
      <c r="G38" s="28">
        <f>(E38/F18)*100</f>
        <v>0.93598198846896918</v>
      </c>
      <c r="H38" s="28">
        <f>(B38/D18)*100</f>
        <v>4.3134047599574714</v>
      </c>
      <c r="I38" s="18" t="s">
        <v>45</v>
      </c>
    </row>
    <row r="39" spans="1:9" s="5" customFormat="1" ht="18.75" customHeight="1" x14ac:dyDescent="0.15">
      <c r="A39" s="23" t="s">
        <v>13</v>
      </c>
      <c r="B39" s="18">
        <f>251238.5/100</f>
        <v>2512.3850000000002</v>
      </c>
      <c r="C39" s="18" t="s">
        <v>45</v>
      </c>
      <c r="D39" s="18">
        <v>2089</v>
      </c>
      <c r="E39" s="18">
        <f>284525975/1000000</f>
        <v>284.52597500000002</v>
      </c>
      <c r="F39" s="18">
        <f>256073376/1000000</f>
        <v>256.073376</v>
      </c>
      <c r="G39" s="28">
        <f>(E39/F19)*100</f>
        <v>6.9643379216396477</v>
      </c>
      <c r="H39" s="28">
        <f>(B39/D19)*100</f>
        <v>32.160738600528447</v>
      </c>
      <c r="I39" s="18" t="s">
        <v>45</v>
      </c>
    </row>
    <row r="40" spans="1:9" s="5" customFormat="1" ht="18.75" customHeight="1" x14ac:dyDescent="0.15">
      <c r="A40" s="23" t="s">
        <v>4</v>
      </c>
      <c r="B40" s="18" t="s">
        <v>45</v>
      </c>
      <c r="C40" s="31">
        <v>527</v>
      </c>
      <c r="D40" s="31">
        <v>378</v>
      </c>
      <c r="E40" s="31">
        <f>53367359/1000000</f>
        <v>53.367359</v>
      </c>
      <c r="F40" s="31">
        <f>48030402/1000000</f>
        <v>48.030402000000002</v>
      </c>
      <c r="G40" s="28">
        <f>(E40/F20)*100</f>
        <v>0.32955377926794804</v>
      </c>
      <c r="H40" s="28" t="s">
        <v>45</v>
      </c>
      <c r="I40" s="28">
        <f>(C40/E20)*100</f>
        <v>6.7868641339343201</v>
      </c>
    </row>
    <row r="41" spans="1:9" s="5" customFormat="1" ht="15" customHeight="1" thickBot="1" x14ac:dyDescent="0.2">
      <c r="A41" s="24"/>
      <c r="B41" s="25"/>
      <c r="C41" s="25"/>
      <c r="D41" s="25"/>
      <c r="E41" s="25"/>
      <c r="F41" s="25"/>
      <c r="G41" s="26"/>
      <c r="H41" s="25"/>
      <c r="I41" s="26"/>
    </row>
    <row r="42" spans="1:9" ht="15" customHeight="1" x14ac:dyDescent="0.15">
      <c r="A42" s="2" t="s">
        <v>14</v>
      </c>
      <c r="B42" s="3"/>
      <c r="C42" s="3"/>
      <c r="D42" s="3"/>
      <c r="E42" s="3"/>
      <c r="F42" s="3"/>
      <c r="G42" s="3"/>
      <c r="H42" s="3"/>
      <c r="I42" s="3"/>
    </row>
    <row r="43" spans="1:9" ht="14.25" customHeight="1" x14ac:dyDescent="0.15">
      <c r="A43" s="39" t="s">
        <v>25</v>
      </c>
    </row>
    <row r="44" spans="1:9" ht="14.25" customHeight="1" x14ac:dyDescent="0.15">
      <c r="A44" s="39" t="s">
        <v>29</v>
      </c>
    </row>
    <row r="45" spans="1:9" ht="14.25" customHeight="1" x14ac:dyDescent="0.15">
      <c r="A45" s="39" t="s">
        <v>30</v>
      </c>
    </row>
    <row r="46" spans="1:9" ht="14.25" customHeight="1" x14ac:dyDescent="0.15">
      <c r="A46" s="39" t="s">
        <v>26</v>
      </c>
    </row>
    <row r="47" spans="1:9" ht="14.25" customHeight="1" x14ac:dyDescent="0.15">
      <c r="A47" s="39" t="s">
        <v>27</v>
      </c>
    </row>
    <row r="48" spans="1:9" ht="14.25" customHeight="1" x14ac:dyDescent="0.15">
      <c r="A48" s="39" t="s">
        <v>28</v>
      </c>
    </row>
    <row r="51" spans="1:1" x14ac:dyDescent="0.15">
      <c r="A51" s="1" t="s">
        <v>21</v>
      </c>
    </row>
    <row r="52" spans="1:1" x14ac:dyDescent="0.15">
      <c r="A52" s="1" t="s">
        <v>22</v>
      </c>
    </row>
    <row r="53" spans="1:1" x14ac:dyDescent="0.15">
      <c r="A53" s="1" t="s">
        <v>23</v>
      </c>
    </row>
  </sheetData>
  <mergeCells count="19">
    <mergeCell ref="G3:I4"/>
    <mergeCell ref="D3:D6"/>
    <mergeCell ref="F3:F6"/>
    <mergeCell ref="E3:E6"/>
    <mergeCell ref="I5:I6"/>
    <mergeCell ref="H5:H6"/>
    <mergeCell ref="G5:G6"/>
    <mergeCell ref="I22:I24"/>
    <mergeCell ref="H22:H24"/>
    <mergeCell ref="G22:G24"/>
    <mergeCell ref="F22:F24"/>
    <mergeCell ref="E22:E24"/>
    <mergeCell ref="D22:D24"/>
    <mergeCell ref="C22:C24"/>
    <mergeCell ref="B22:B24"/>
    <mergeCell ref="A3:A6"/>
    <mergeCell ref="C3:C6"/>
    <mergeCell ref="B3:B6"/>
    <mergeCell ref="A22:A24"/>
  </mergeCells>
  <phoneticPr fontId="10"/>
  <printOptions horizontalCentered="1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6-24  </vt:lpstr>
      <vt:lpstr>'6-24  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笹山　菜月（統計分析課）</cp:lastModifiedBy>
  <cp:lastPrinted>2020-10-16T05:44:44Z</cp:lastPrinted>
  <dcterms:created xsi:type="dcterms:W3CDTF">2010-04-01T04:03:48Z</dcterms:created>
  <dcterms:modified xsi:type="dcterms:W3CDTF">2021-03-22T08:24:06Z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